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<sst xmlns="http://schemas.openxmlformats.org/spreadsheetml/2006/main" count="134" uniqueCount="82">
  <si>
    <t>(млн.сум)</t>
  </si>
  <si>
    <t xml:space="preserve">Иктисодий курсаткичлар </t>
  </si>
  <si>
    <t>Режага нисбатан %</t>
  </si>
  <si>
    <t xml:space="preserve">2018 йил режа </t>
  </si>
  <si>
    <t>2018 йил факт</t>
  </si>
  <si>
    <t>2017 йилга нисбатан %</t>
  </si>
  <si>
    <t xml:space="preserve">2019 йил                                                                     </t>
  </si>
  <si>
    <t>Фарки</t>
  </si>
  <si>
    <t>Жами импорт</t>
  </si>
  <si>
    <t>"Дори-Дармон" АК</t>
  </si>
  <si>
    <t xml:space="preserve">Худудий "Дори-Дармон"лар </t>
  </si>
  <si>
    <t>шу жумладан 30% Компания сотиб оладиган қисми</t>
  </si>
  <si>
    <t xml:space="preserve">Уртача курс </t>
  </si>
  <si>
    <t xml:space="preserve">Жами кирим </t>
  </si>
  <si>
    <t>Импорт бўйича</t>
  </si>
  <si>
    <t>Валюта-сум вил. Д-Д</t>
  </si>
  <si>
    <t>Махаллий и/чикарувчилар ва дистрибюторлардан</t>
  </si>
  <si>
    <t>Чет эл фирмаларидан  (импорт)</t>
  </si>
  <si>
    <t>Махаллий ишлаб чикарувчилардан</t>
  </si>
  <si>
    <t>I</t>
  </si>
  <si>
    <t>Товар айланмаси</t>
  </si>
  <si>
    <t>шу жумладан: улгуржи</t>
  </si>
  <si>
    <t xml:space="preserve">                      чакана</t>
  </si>
  <si>
    <t>II</t>
  </si>
  <si>
    <t>Ялпи даромад</t>
  </si>
  <si>
    <t>шу жумладан: улгуржи савдо устама</t>
  </si>
  <si>
    <t xml:space="preserve">                      чакана савдо устама</t>
  </si>
  <si>
    <t xml:space="preserve">          савдо чегирмалари</t>
  </si>
  <si>
    <t>шу жумладан</t>
  </si>
  <si>
    <t xml:space="preserve">чет эл фирмаларидан </t>
  </si>
  <si>
    <t>махаллий ишлаб чикарувчилардан</t>
  </si>
  <si>
    <t>Кредит нот</t>
  </si>
  <si>
    <t>Тендер тов.хизматидан+лаб</t>
  </si>
  <si>
    <t>Ижара</t>
  </si>
  <si>
    <t>Курс фарқи "+"</t>
  </si>
  <si>
    <t>Дивиденд ва фоиздан даромад</t>
  </si>
  <si>
    <t>Бошка даромадлар</t>
  </si>
  <si>
    <t>III</t>
  </si>
  <si>
    <t>Даромадлилик даражаси%</t>
  </si>
  <si>
    <t>IV</t>
  </si>
  <si>
    <t>Уртача улгуржи савдо устамаси%</t>
  </si>
  <si>
    <t>V</t>
  </si>
  <si>
    <t>Уртача чакана савдо устамаси%</t>
  </si>
  <si>
    <t>Жами харажатлар %</t>
  </si>
  <si>
    <t>VI</t>
  </si>
  <si>
    <t>Харажатлар:</t>
  </si>
  <si>
    <t>Солиқ (ер ва бино)</t>
  </si>
  <si>
    <t>Асосий воситаларнинг эскириши</t>
  </si>
  <si>
    <t>Ахборат коммуникация технологияси</t>
  </si>
  <si>
    <t xml:space="preserve">Курс фарки  ва муддати кечиктирилган харажатлар </t>
  </si>
  <si>
    <t>Кредит фоизлари</t>
  </si>
  <si>
    <t>Юридические услуги (до 33%)</t>
  </si>
  <si>
    <t>Иш ҳақи фонди</t>
  </si>
  <si>
    <t xml:space="preserve">Ижтимоий тўлов </t>
  </si>
  <si>
    <t>Банк хизматлари</t>
  </si>
  <si>
    <t>Транспорт харажатлари</t>
  </si>
  <si>
    <t xml:space="preserve">Ҳомийлик </t>
  </si>
  <si>
    <t>Беғараз ва мурувват ёрдами</t>
  </si>
  <si>
    <t>Тендер харажатлари</t>
  </si>
  <si>
    <t>Курилиш харажатлари</t>
  </si>
  <si>
    <t>Оргтехника таъмирлаш</t>
  </si>
  <si>
    <t>Кузатув кенгаши ва ички аудит харажатлари</t>
  </si>
  <si>
    <t>Коммунал харажатлар</t>
  </si>
  <si>
    <t>Кам бахоли ва тез эскирувчан тов.(МБП)</t>
  </si>
  <si>
    <t>Куриклаш</t>
  </si>
  <si>
    <t>Сугурта</t>
  </si>
  <si>
    <t>Бошқа харажатлар</t>
  </si>
  <si>
    <t>Даромад (Фойда) солиги тулагунга кадар фойда</t>
  </si>
  <si>
    <t>Даромад (Фойда) солиги</t>
  </si>
  <si>
    <t>Покрытия убытков</t>
  </si>
  <si>
    <t>Возмещ.убытков из резерв.фонд</t>
  </si>
  <si>
    <t>Возмещ.убытков из нераспред.рибыль</t>
  </si>
  <si>
    <t>VII</t>
  </si>
  <si>
    <t>Соф фойда</t>
  </si>
  <si>
    <t>VIII</t>
  </si>
  <si>
    <t>Самарадорлик даражаси%</t>
  </si>
  <si>
    <t>"Дори-Дармон" АКнинг 2019 йилга Бизнес режасидаги иқтисодий кўрсаткичларнинг бажарилиши</t>
  </si>
  <si>
    <t>(млн. сум)</t>
  </si>
  <si>
    <t>Режа</t>
  </si>
  <si>
    <t>Амалда</t>
  </si>
  <si>
    <t>%</t>
  </si>
  <si>
    <t>"Дори-Дармон" АКнинг 2018 йилга Бизнес режасидаги иқтисодий кўрсаткичлар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</si>
</sst>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0"/>
    <numFmt numFmtId="17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1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i/>
      <sz val="10"/>
      <color indexed="8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vertical="center"/>
    </xf>
    <xf numFmtId="172" fontId="50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172" fontId="51" fillId="0" borderId="11" xfId="0" applyNumberFormat="1" applyFont="1" applyFill="1" applyBorder="1" applyAlignment="1">
      <alignment horizontal="center" vertical="center"/>
    </xf>
    <xf numFmtId="172" fontId="51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/>
    </xf>
    <xf numFmtId="172" fontId="50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172" fontId="49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173" fontId="50" fillId="0" borderId="11" xfId="55" applyNumberFormat="1" applyFont="1" applyFill="1" applyBorder="1" applyAlignment="1">
      <alignment horizontal="center" vertical="center"/>
    </xf>
    <xf numFmtId="174" fontId="50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/>
    </xf>
    <xf numFmtId="173" fontId="51" fillId="0" borderId="11" xfId="55" applyNumberFormat="1" applyFont="1" applyFill="1" applyBorder="1" applyAlignment="1">
      <alignment horizontal="center" vertical="center"/>
    </xf>
    <xf numFmtId="174" fontId="51" fillId="0" borderId="13" xfId="0" applyNumberFormat="1" applyFont="1" applyFill="1" applyBorder="1" applyAlignment="1">
      <alignment vertical="center"/>
    </xf>
    <xf numFmtId="172" fontId="51" fillId="0" borderId="13" xfId="0" applyNumberFormat="1" applyFont="1" applyFill="1" applyBorder="1" applyAlignment="1">
      <alignment vertical="center"/>
    </xf>
    <xf numFmtId="174" fontId="51" fillId="0" borderId="11" xfId="0" applyNumberFormat="1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 vertical="center"/>
    </xf>
    <xf numFmtId="172" fontId="52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173" fontId="26" fillId="0" borderId="11" xfId="0" applyNumberFormat="1" applyFont="1" applyFill="1" applyBorder="1" applyAlignment="1">
      <alignment horizontal="right" vertical="center" wrapText="1" shrinkToFit="1"/>
    </xf>
    <xf numFmtId="172" fontId="26" fillId="0" borderId="11" xfId="0" applyNumberFormat="1" applyFont="1" applyFill="1" applyBorder="1" applyAlignment="1">
      <alignment horizontal="right" vertical="center" wrapText="1" shrinkToFit="1"/>
    </xf>
    <xf numFmtId="0" fontId="51" fillId="0" borderId="0" xfId="0" applyFont="1" applyFill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2" fontId="28" fillId="0" borderId="11" xfId="0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 wrapText="1"/>
    </xf>
    <xf numFmtId="174" fontId="51" fillId="0" borderId="11" xfId="55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173" fontId="51" fillId="0" borderId="16" xfId="55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 horizontal="left" vertical="center"/>
    </xf>
    <xf numFmtId="172" fontId="50" fillId="0" borderId="13" xfId="0" applyNumberFormat="1" applyFont="1" applyFill="1" applyBorder="1" applyAlignment="1">
      <alignment vertical="center"/>
    </xf>
    <xf numFmtId="174" fontId="54" fillId="0" borderId="11" xfId="0" applyNumberFormat="1" applyFont="1" applyFill="1" applyBorder="1" applyAlignment="1">
      <alignment vertical="center"/>
    </xf>
    <xf numFmtId="172" fontId="54" fillId="0" borderId="11" xfId="0" applyNumberFormat="1" applyFont="1" applyFill="1" applyBorder="1" applyAlignment="1">
      <alignment vertical="center"/>
    </xf>
    <xf numFmtId="172" fontId="55" fillId="0" borderId="11" xfId="0" applyNumberFormat="1" applyFont="1" applyFill="1" applyBorder="1" applyAlignment="1">
      <alignment horizontal="center" vertical="center"/>
    </xf>
    <xf numFmtId="175" fontId="52" fillId="0" borderId="11" xfId="0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172" fontId="53" fillId="0" borderId="11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right" vertical="center"/>
    </xf>
    <xf numFmtId="172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" fontId="49" fillId="0" borderId="0" xfId="0" applyNumberFormat="1" applyFont="1" applyFill="1" applyAlignment="1">
      <alignment vertical="center"/>
    </xf>
    <xf numFmtId="4" fontId="51" fillId="0" borderId="11" xfId="0" applyNumberFormat="1" applyFont="1" applyFill="1" applyBorder="1" applyAlignment="1">
      <alignment vertical="center"/>
    </xf>
    <xf numFmtId="4" fontId="50" fillId="0" borderId="11" xfId="0" applyNumberFormat="1" applyFont="1" applyFill="1" applyBorder="1" applyAlignment="1">
      <alignment vertical="center"/>
    </xf>
    <xf numFmtId="172" fontId="52" fillId="0" borderId="11" xfId="0" applyNumberFormat="1" applyFont="1" applyFill="1" applyBorder="1" applyAlignment="1">
      <alignment horizontal="center" vertical="center"/>
    </xf>
    <xf numFmtId="174" fontId="51" fillId="0" borderId="17" xfId="0" applyNumberFormat="1" applyFont="1" applyFill="1" applyBorder="1" applyAlignment="1">
      <alignment horizontal="right" vertical="center"/>
    </xf>
    <xf numFmtId="174" fontId="51" fillId="0" borderId="13" xfId="0" applyNumberFormat="1" applyFont="1" applyFill="1" applyBorder="1" applyAlignment="1">
      <alignment horizontal="right" vertical="center"/>
    </xf>
    <xf numFmtId="172" fontId="51" fillId="0" borderId="17" xfId="0" applyNumberFormat="1" applyFont="1" applyFill="1" applyBorder="1" applyAlignment="1">
      <alignment horizontal="right" vertical="center"/>
    </xf>
    <xf numFmtId="172" fontId="51" fillId="0" borderId="13" xfId="0" applyNumberFormat="1" applyFont="1" applyFill="1" applyBorder="1" applyAlignment="1">
      <alignment horizontal="right" vertical="center"/>
    </xf>
    <xf numFmtId="172" fontId="50" fillId="0" borderId="17" xfId="0" applyNumberFormat="1" applyFont="1" applyFill="1" applyBorder="1" applyAlignment="1">
      <alignment horizontal="center" vertical="center"/>
    </xf>
    <xf numFmtId="172" fontId="50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50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72"/>
  <sheetViews>
    <sheetView tabSelected="1" zoomScalePageLayoutView="0" workbookViewId="0" topLeftCell="A1">
      <selection activeCell="B3" sqref="B3"/>
    </sheetView>
  </sheetViews>
  <sheetFormatPr defaultColWidth="11.28125" defaultRowHeight="15"/>
  <cols>
    <col min="1" max="1" width="5.00390625" style="1" customWidth="1"/>
    <col min="2" max="2" width="34.7109375" style="1" customWidth="1"/>
    <col min="3" max="3" width="14.421875" style="1" hidden="1" customWidth="1"/>
    <col min="4" max="4" width="13.57421875" style="56" hidden="1" customWidth="1"/>
    <col min="5" max="5" width="14.28125" style="56" hidden="1" customWidth="1"/>
    <col min="6" max="6" width="11.57421875" style="1" customWidth="1"/>
    <col min="7" max="9" width="13.28125" style="1" hidden="1" customWidth="1"/>
    <col min="10" max="10" width="9.8515625" style="1" hidden="1" customWidth="1"/>
    <col min="11" max="194" width="9.140625" style="1" customWidth="1"/>
    <col min="195" max="195" width="5.00390625" style="1" customWidth="1"/>
    <col min="196" max="196" width="30.421875" style="1" customWidth="1"/>
    <col min="197" max="200" width="0" style="1" hidden="1" customWidth="1"/>
    <col min="201" max="201" width="11.00390625" style="1" customWidth="1"/>
    <col min="202" max="16384" width="11.28125" style="1" customWidth="1"/>
  </cols>
  <sheetData>
    <row r="1" spans="1:9" ht="28.5" customHeight="1">
      <c r="A1" s="78" t="s">
        <v>81</v>
      </c>
      <c r="B1" s="78"/>
      <c r="C1" s="78"/>
      <c r="D1" s="78"/>
      <c r="E1" s="78"/>
      <c r="F1" s="78"/>
      <c r="G1" s="78"/>
      <c r="H1" s="78"/>
      <c r="I1" s="78"/>
    </row>
    <row r="2" spans="1:9" ht="15.75" customHeight="1">
      <c r="A2" s="2"/>
      <c r="B2" s="2"/>
      <c r="C2" s="2"/>
      <c r="D2" s="3"/>
      <c r="E2" s="3"/>
      <c r="F2" s="79" t="s">
        <v>0</v>
      </c>
      <c r="G2" s="79"/>
      <c r="H2" s="79"/>
      <c r="I2" s="79"/>
    </row>
    <row r="3" spans="1:10" ht="39.75" customHeight="1">
      <c r="A3" s="4"/>
      <c r="B3" s="5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7" t="s">
        <v>2</v>
      </c>
      <c r="I3" s="6" t="s">
        <v>6</v>
      </c>
      <c r="J3" s="6" t="s">
        <v>7</v>
      </c>
    </row>
    <row r="4" spans="1:9" ht="18.75" customHeight="1" hidden="1">
      <c r="A4" s="8">
        <v>1</v>
      </c>
      <c r="B4" s="9" t="s">
        <v>8</v>
      </c>
      <c r="C4" s="9"/>
      <c r="D4" s="10"/>
      <c r="E4" s="10"/>
      <c r="F4" s="10">
        <f>F5+F6</f>
        <v>90000</v>
      </c>
      <c r="G4" s="10"/>
      <c r="H4" s="10"/>
      <c r="I4" s="11"/>
    </row>
    <row r="5" spans="1:9" ht="18.75" customHeight="1" hidden="1">
      <c r="A5" s="8">
        <v>2</v>
      </c>
      <c r="B5" s="9" t="s">
        <v>9</v>
      </c>
      <c r="C5" s="9"/>
      <c r="D5" s="12"/>
      <c r="E5" s="12"/>
      <c r="F5" s="13">
        <v>50000</v>
      </c>
      <c r="G5" s="13"/>
      <c r="H5" s="13"/>
      <c r="I5" s="13">
        <f>I10/8.35</f>
        <v>35928.14371257485</v>
      </c>
    </row>
    <row r="6" spans="1:9" ht="18.75" customHeight="1" hidden="1">
      <c r="A6" s="8">
        <v>3</v>
      </c>
      <c r="B6" s="9" t="s">
        <v>10</v>
      </c>
      <c r="C6" s="9"/>
      <c r="D6" s="12"/>
      <c r="E6" s="12"/>
      <c r="F6" s="13">
        <v>40000</v>
      </c>
      <c r="G6" s="13"/>
      <c r="H6" s="13"/>
      <c r="I6" s="11"/>
    </row>
    <row r="7" spans="1:9" ht="18.75" customHeight="1" hidden="1">
      <c r="A7" s="8"/>
      <c r="B7" s="14" t="s">
        <v>11</v>
      </c>
      <c r="C7" s="14"/>
      <c r="D7" s="12"/>
      <c r="E7" s="12"/>
      <c r="F7" s="12">
        <f>F6*0.3</f>
        <v>12000</v>
      </c>
      <c r="G7" s="12"/>
      <c r="H7" s="12"/>
      <c r="I7" s="11"/>
    </row>
    <row r="8" spans="1:9" ht="18.75" customHeight="1" hidden="1">
      <c r="A8" s="15"/>
      <c r="B8" s="9" t="s">
        <v>12</v>
      </c>
      <c r="C8" s="9"/>
      <c r="D8" s="10"/>
      <c r="E8" s="10"/>
      <c r="F8" s="16">
        <v>8100</v>
      </c>
      <c r="G8" s="16"/>
      <c r="H8" s="16"/>
      <c r="I8" s="11"/>
    </row>
    <row r="9" spans="1:9" ht="18.75" customHeight="1" hidden="1">
      <c r="A9" s="15"/>
      <c r="B9" s="17" t="s">
        <v>13</v>
      </c>
      <c r="C9" s="17"/>
      <c r="D9" s="10"/>
      <c r="E9" s="10"/>
      <c r="F9" s="16">
        <v>505000</v>
      </c>
      <c r="G9" s="16"/>
      <c r="H9" s="16"/>
      <c r="I9" s="18">
        <f>I10+I11+I12</f>
        <v>400000</v>
      </c>
    </row>
    <row r="10" spans="1:9" ht="18.75" customHeight="1" hidden="1">
      <c r="A10" s="8">
        <v>1</v>
      </c>
      <c r="B10" s="9" t="s">
        <v>14</v>
      </c>
      <c r="C10" s="9"/>
      <c r="D10" s="12"/>
      <c r="E10" s="12"/>
      <c r="F10" s="13">
        <v>405000</v>
      </c>
      <c r="G10" s="13"/>
      <c r="H10" s="13"/>
      <c r="I10" s="13">
        <v>300000</v>
      </c>
    </row>
    <row r="11" spans="1:9" ht="18.75" customHeight="1" hidden="1">
      <c r="A11" s="8">
        <v>2</v>
      </c>
      <c r="B11" s="9" t="s">
        <v>15</v>
      </c>
      <c r="C11" s="9"/>
      <c r="D11" s="12"/>
      <c r="E11" s="12"/>
      <c r="F11" s="13"/>
      <c r="G11" s="13"/>
      <c r="H11" s="13"/>
      <c r="I11" s="13"/>
    </row>
    <row r="12" spans="1:9" ht="18.75" customHeight="1" hidden="1">
      <c r="A12" s="8">
        <v>2</v>
      </c>
      <c r="B12" s="19" t="s">
        <v>16</v>
      </c>
      <c r="C12" s="19"/>
      <c r="D12" s="12"/>
      <c r="E12" s="12"/>
      <c r="F12" s="13">
        <v>100000</v>
      </c>
      <c r="G12" s="13"/>
      <c r="H12" s="13"/>
      <c r="I12" s="13">
        <v>100000</v>
      </c>
    </row>
    <row r="13" spans="1:9" ht="18.75" customHeight="1" hidden="1">
      <c r="A13" s="8"/>
      <c r="B13" s="19"/>
      <c r="C13" s="19"/>
      <c r="D13" s="12"/>
      <c r="E13" s="12"/>
      <c r="F13" s="13"/>
      <c r="G13" s="13"/>
      <c r="H13" s="13"/>
      <c r="I13" s="13"/>
    </row>
    <row r="14" spans="1:9" ht="17.25" customHeight="1" hidden="1">
      <c r="A14" s="15"/>
      <c r="B14" s="9" t="s">
        <v>17</v>
      </c>
      <c r="C14" s="9"/>
      <c r="D14" s="80"/>
      <c r="E14" s="80"/>
      <c r="F14" s="80"/>
      <c r="G14" s="80"/>
      <c r="H14" s="80"/>
      <c r="I14" s="80"/>
    </row>
    <row r="15" spans="1:9" ht="16.5" customHeight="1" hidden="1">
      <c r="A15" s="15"/>
      <c r="B15" s="9" t="s">
        <v>18</v>
      </c>
      <c r="C15" s="9"/>
      <c r="D15" s="80"/>
      <c r="E15" s="80"/>
      <c r="F15" s="80"/>
      <c r="G15" s="80"/>
      <c r="H15" s="80"/>
      <c r="I15" s="80"/>
    </row>
    <row r="16" spans="1:10" ht="21.75" customHeight="1">
      <c r="A16" s="8" t="s">
        <v>19</v>
      </c>
      <c r="B16" s="20" t="s">
        <v>20</v>
      </c>
      <c r="C16" s="20"/>
      <c r="D16" s="21" t="e">
        <f>#REF!/#REF!</f>
        <v>#REF!</v>
      </c>
      <c r="E16" s="22">
        <f>E17+E18</f>
        <v>95000</v>
      </c>
      <c r="F16" s="16">
        <f>F17+F18</f>
        <v>69505.655</v>
      </c>
      <c r="G16" s="10" t="e">
        <f>F16*100/#REF!</f>
        <v>#REF!</v>
      </c>
      <c r="H16" s="10">
        <f>F16*100/E16</f>
        <v>73.16384736842106</v>
      </c>
      <c r="I16" s="16">
        <f>I17+I18</f>
        <v>380000</v>
      </c>
      <c r="J16" s="16" t="e">
        <f>I16-#REF!</f>
        <v>#REF!</v>
      </c>
    </row>
    <row r="17" spans="1:10" ht="14.25">
      <c r="A17" s="5">
        <v>1</v>
      </c>
      <c r="B17" s="23" t="s">
        <v>21</v>
      </c>
      <c r="C17" s="23"/>
      <c r="D17" s="24" t="e">
        <f>#REF!/#REF!</f>
        <v>#REF!</v>
      </c>
      <c r="E17" s="25">
        <v>30000</v>
      </c>
      <c r="F17" s="26">
        <f>34520.258391-2973.142</f>
        <v>31547.116391000003</v>
      </c>
      <c r="G17" s="10" t="e">
        <f>F17*100/#REF!</f>
        <v>#REF!</v>
      </c>
      <c r="H17" s="10">
        <f aca="true" t="shared" si="0" ref="H17:H64">F17*100/E17</f>
        <v>105.15705463666667</v>
      </c>
      <c r="I17" s="13">
        <v>220000</v>
      </c>
      <c r="J17" s="16" t="e">
        <f>I17-#REF!</f>
        <v>#REF!</v>
      </c>
    </row>
    <row r="18" spans="1:10" ht="14.25">
      <c r="A18" s="5">
        <v>2</v>
      </c>
      <c r="B18" s="23" t="s">
        <v>22</v>
      </c>
      <c r="C18" s="23"/>
      <c r="D18" s="24" t="e">
        <f>#REF!/#REF!</f>
        <v>#REF!</v>
      </c>
      <c r="E18" s="27">
        <v>65000</v>
      </c>
      <c r="F18" s="13">
        <v>37958.538609</v>
      </c>
      <c r="G18" s="10" t="e">
        <f>F18*100/#REF!</f>
        <v>#REF!</v>
      </c>
      <c r="H18" s="10">
        <f t="shared" si="0"/>
        <v>58.39775170615385</v>
      </c>
      <c r="I18" s="13">
        <v>160000</v>
      </c>
      <c r="J18" s="16" t="e">
        <f>I18-#REF!</f>
        <v>#REF!</v>
      </c>
    </row>
    <row r="19" spans="1:10" ht="14.25">
      <c r="A19" s="8" t="s">
        <v>23</v>
      </c>
      <c r="B19" s="20" t="s">
        <v>24</v>
      </c>
      <c r="C19" s="20"/>
      <c r="D19" s="21" t="e">
        <f>#REF!/#REF!</f>
        <v>#REF!</v>
      </c>
      <c r="E19" s="22">
        <f>E20+E21+E22+E27+E28+E29+E30+E31</f>
        <v>104225</v>
      </c>
      <c r="F19" s="16">
        <f>F20+F21+F22+F27+F28+F29+F30+F31</f>
        <v>34875.17604</v>
      </c>
      <c r="G19" s="10" t="e">
        <f>F19*100/#REF!</f>
        <v>#REF!</v>
      </c>
      <c r="H19" s="10">
        <f t="shared" si="0"/>
        <v>33.46143059726553</v>
      </c>
      <c r="I19" s="16">
        <f>I20+I21+I22+I27+I28+I29+I30+I31</f>
        <v>103891.24824016563</v>
      </c>
      <c r="J19" s="16" t="e">
        <f>I19-#REF!</f>
        <v>#REF!</v>
      </c>
    </row>
    <row r="20" spans="1:10" ht="18" customHeight="1">
      <c r="A20" s="28">
        <v>1</v>
      </c>
      <c r="B20" s="23" t="s">
        <v>25</v>
      </c>
      <c r="C20" s="23"/>
      <c r="D20" s="24" t="e">
        <f>#REF!/#REF!</f>
        <v>#REF!</v>
      </c>
      <c r="E20" s="25">
        <v>1200</v>
      </c>
      <c r="F20" s="13"/>
      <c r="G20" s="10"/>
      <c r="H20" s="10"/>
      <c r="I20" s="13">
        <f>I17/105*5.9</f>
        <v>12361.904761904763</v>
      </c>
      <c r="J20" s="16" t="e">
        <f>I20-#REF!</f>
        <v>#REF!</v>
      </c>
    </row>
    <row r="21" spans="1:10" ht="17.25" customHeight="1">
      <c r="A21" s="28">
        <v>2</v>
      </c>
      <c r="B21" s="23" t="s">
        <v>26</v>
      </c>
      <c r="C21" s="23"/>
      <c r="D21" s="24" t="e">
        <f>#REF!/#REF!</f>
        <v>#REF!</v>
      </c>
      <c r="E21" s="27">
        <v>10725</v>
      </c>
      <c r="F21" s="13"/>
      <c r="G21" s="10"/>
      <c r="H21" s="10"/>
      <c r="I21" s="13">
        <f>(I18/115*12.3)+1016.3</f>
        <v>18129.34347826087</v>
      </c>
      <c r="J21" s="16" t="e">
        <f>I21-#REF!</f>
        <v>#REF!</v>
      </c>
    </row>
    <row r="22" spans="1:10" ht="14.25">
      <c r="A22" s="28">
        <v>3</v>
      </c>
      <c r="B22" s="23" t="s">
        <v>27</v>
      </c>
      <c r="C22" s="23"/>
      <c r="D22" s="24" t="e">
        <f>#REF!/#REF!</f>
        <v>#REF!</v>
      </c>
      <c r="E22" s="25">
        <f>E24+E26</f>
        <v>84500</v>
      </c>
      <c r="F22" s="13">
        <f>F24+F26</f>
        <v>26108.26143</v>
      </c>
      <c r="G22" s="10" t="e">
        <f>F22*100/#REF!</f>
        <v>#REF!</v>
      </c>
      <c r="H22" s="10">
        <f t="shared" si="0"/>
        <v>30.897350804733723</v>
      </c>
      <c r="I22" s="13">
        <f>I24+I25</f>
        <v>67470</v>
      </c>
      <c r="J22" s="16" t="e">
        <f>I22-#REF!</f>
        <v>#REF!</v>
      </c>
    </row>
    <row r="23" spans="1:10" ht="14.25">
      <c r="A23" s="29"/>
      <c r="B23" s="30" t="s">
        <v>28</v>
      </c>
      <c r="C23" s="23"/>
      <c r="D23" s="24"/>
      <c r="E23" s="27"/>
      <c r="F23" s="13"/>
      <c r="G23" s="10"/>
      <c r="H23" s="10"/>
      <c r="I23" s="13"/>
      <c r="J23" s="16" t="e">
        <f>I23-#REF!</f>
        <v>#REF!</v>
      </c>
    </row>
    <row r="24" spans="1:10" ht="14.25">
      <c r="A24" s="29"/>
      <c r="B24" s="31" t="s">
        <v>29</v>
      </c>
      <c r="C24" s="31"/>
      <c r="D24" s="24" t="e">
        <f>#REF!/#REF!</f>
        <v>#REF!</v>
      </c>
      <c r="E24" s="67">
        <v>9500</v>
      </c>
      <c r="F24" s="69">
        <f>25965.6656+142.74683-0.151</f>
        <v>26108.26143</v>
      </c>
      <c r="G24" s="71" t="e">
        <f>F24*100/#REF!</f>
        <v>#REF!</v>
      </c>
      <c r="H24" s="10">
        <f t="shared" si="0"/>
        <v>274.82380452631577</v>
      </c>
      <c r="I24" s="32">
        <f>67200-4730</f>
        <v>62470</v>
      </c>
      <c r="J24" s="16" t="e">
        <f>I24-#REF!</f>
        <v>#REF!</v>
      </c>
    </row>
    <row r="25" spans="1:10" ht="14.25">
      <c r="A25" s="29"/>
      <c r="B25" s="31" t="s">
        <v>30</v>
      </c>
      <c r="C25" s="31"/>
      <c r="D25" s="24" t="e">
        <f>#REF!/#REF!</f>
        <v>#REF!</v>
      </c>
      <c r="E25" s="68"/>
      <c r="F25" s="70"/>
      <c r="G25" s="72"/>
      <c r="H25" s="10"/>
      <c r="I25" s="32">
        <v>5000</v>
      </c>
      <c r="J25" s="16" t="e">
        <f>I25-#REF!</f>
        <v>#REF!</v>
      </c>
    </row>
    <row r="26" spans="1:10" ht="15.75" customHeight="1">
      <c r="A26" s="29"/>
      <c r="B26" s="30" t="s">
        <v>31</v>
      </c>
      <c r="C26" s="30"/>
      <c r="D26" s="24"/>
      <c r="E26" s="25">
        <v>75000</v>
      </c>
      <c r="F26" s="13"/>
      <c r="G26" s="10"/>
      <c r="H26" s="10">
        <f t="shared" si="0"/>
        <v>0</v>
      </c>
      <c r="I26" s="13"/>
      <c r="J26" s="16" t="e">
        <f>I26-#REF!</f>
        <v>#REF!</v>
      </c>
    </row>
    <row r="27" spans="1:10" ht="14.25">
      <c r="A27" s="28">
        <v>4</v>
      </c>
      <c r="B27" s="33" t="s">
        <v>32</v>
      </c>
      <c r="C27" s="33"/>
      <c r="D27" s="24" t="e">
        <f>#REF!/#REF!</f>
        <v>#REF!</v>
      </c>
      <c r="E27" s="27">
        <v>200</v>
      </c>
      <c r="F27" s="13">
        <v>138.44861</v>
      </c>
      <c r="G27" s="10" t="e">
        <f>F27*100/#REF!</f>
        <v>#REF!</v>
      </c>
      <c r="H27" s="10">
        <f t="shared" si="0"/>
        <v>69.224305</v>
      </c>
      <c r="I27" s="13"/>
      <c r="J27" s="16" t="e">
        <f>I27-#REF!</f>
        <v>#REF!</v>
      </c>
    </row>
    <row r="28" spans="1:10" ht="14.25">
      <c r="A28" s="28">
        <v>5</v>
      </c>
      <c r="B28" s="33" t="s">
        <v>33</v>
      </c>
      <c r="C28" s="33"/>
      <c r="D28" s="24" t="e">
        <f>#REF!/#REF!</f>
        <v>#REF!</v>
      </c>
      <c r="E28" s="25">
        <v>1000</v>
      </c>
      <c r="F28" s="13">
        <f>1203.097-101.953</f>
        <v>1101.144</v>
      </c>
      <c r="G28" s="10" t="e">
        <f>F28*100/#REF!</f>
        <v>#REF!</v>
      </c>
      <c r="H28" s="10">
        <f t="shared" si="0"/>
        <v>110.11439999999999</v>
      </c>
      <c r="I28" s="13">
        <v>1200</v>
      </c>
      <c r="J28" s="16" t="e">
        <f>I28-#REF!</f>
        <v>#REF!</v>
      </c>
    </row>
    <row r="29" spans="1:10" ht="14.25">
      <c r="A29" s="28">
        <v>6</v>
      </c>
      <c r="B29" s="33" t="s">
        <v>34</v>
      </c>
      <c r="C29" s="33"/>
      <c r="D29" s="24"/>
      <c r="E29" s="27">
        <v>500</v>
      </c>
      <c r="F29" s="13">
        <v>512.127</v>
      </c>
      <c r="G29" s="10" t="e">
        <f>F29*100/#REF!</f>
        <v>#REF!</v>
      </c>
      <c r="H29" s="10">
        <f t="shared" si="0"/>
        <v>102.4254</v>
      </c>
      <c r="I29" s="13"/>
      <c r="J29" s="16" t="e">
        <f>I29-#REF!</f>
        <v>#REF!</v>
      </c>
    </row>
    <row r="30" spans="1:10" ht="14.25">
      <c r="A30" s="28">
        <v>7</v>
      </c>
      <c r="B30" s="33" t="s">
        <v>35</v>
      </c>
      <c r="C30" s="33"/>
      <c r="D30" s="24" t="e">
        <f>#REF!/#REF!</f>
        <v>#REF!</v>
      </c>
      <c r="E30" s="25">
        <v>6000</v>
      </c>
      <c r="F30" s="13">
        <f>7012.471+2.724</f>
        <v>7015.195</v>
      </c>
      <c r="G30" s="10" t="e">
        <f>F30*100/#REF!</f>
        <v>#REF!</v>
      </c>
      <c r="H30" s="10">
        <f t="shared" si="0"/>
        <v>116.91991666666667</v>
      </c>
      <c r="I30" s="13">
        <v>4730</v>
      </c>
      <c r="J30" s="16" t="e">
        <f>I30-#REF!</f>
        <v>#REF!</v>
      </c>
    </row>
    <row r="31" spans="1:10" ht="14.25">
      <c r="A31" s="28">
        <v>8</v>
      </c>
      <c r="B31" s="33" t="s">
        <v>36</v>
      </c>
      <c r="C31" s="33"/>
      <c r="D31" s="24" t="e">
        <f>#REF!/#REF!</f>
        <v>#REF!</v>
      </c>
      <c r="E31" s="27">
        <v>100</v>
      </c>
      <c r="F31" s="13"/>
      <c r="G31" s="10"/>
      <c r="H31" s="10">
        <f t="shared" si="0"/>
        <v>0</v>
      </c>
      <c r="I31" s="13"/>
      <c r="J31" s="16"/>
    </row>
    <row r="32" spans="1:204" ht="14.25">
      <c r="A32" s="5" t="s">
        <v>37</v>
      </c>
      <c r="B32" s="20" t="s">
        <v>38</v>
      </c>
      <c r="C32" s="20"/>
      <c r="D32" s="24"/>
      <c r="E32" s="34">
        <f>E19/E16</f>
        <v>1.0971052631578948</v>
      </c>
      <c r="F32" s="35">
        <f>F19/F16</f>
        <v>0.5017602674199675</v>
      </c>
      <c r="G32" s="10"/>
      <c r="H32" s="10">
        <f t="shared" si="0"/>
        <v>45.73492483079579</v>
      </c>
      <c r="I32" s="34">
        <f>I19/I16</f>
        <v>0.2733980216846464</v>
      </c>
      <c r="J32" s="1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</row>
    <row r="33" spans="1:204" ht="14.25">
      <c r="A33" s="5" t="s">
        <v>39</v>
      </c>
      <c r="B33" s="20" t="s">
        <v>40</v>
      </c>
      <c r="C33" s="20"/>
      <c r="D33" s="24"/>
      <c r="E33" s="34">
        <f>E20/(E17-E20)</f>
        <v>0.041666666666666664</v>
      </c>
      <c r="F33" s="35">
        <f aca="true" t="shared" si="1" ref="F33:I34">F20/(F17-F20)</f>
        <v>0</v>
      </c>
      <c r="G33" s="10"/>
      <c r="H33" s="10">
        <f t="shared" si="0"/>
        <v>0</v>
      </c>
      <c r="I33" s="34">
        <f t="shared" si="1"/>
        <v>0.059535822401614535</v>
      </c>
      <c r="J33" s="1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</row>
    <row r="34" spans="1:204" ht="14.25">
      <c r="A34" s="5" t="s">
        <v>41</v>
      </c>
      <c r="B34" s="20" t="s">
        <v>42</v>
      </c>
      <c r="C34" s="20"/>
      <c r="D34" s="24"/>
      <c r="E34" s="34">
        <f>E21/(E18-E21)</f>
        <v>0.19760479041916168</v>
      </c>
      <c r="F34" s="35">
        <f t="shared" si="1"/>
        <v>0</v>
      </c>
      <c r="G34" s="10"/>
      <c r="H34" s="10">
        <f t="shared" si="0"/>
        <v>0</v>
      </c>
      <c r="I34" s="34">
        <f t="shared" si="1"/>
        <v>0.12778783099155444</v>
      </c>
      <c r="J34" s="1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</row>
    <row r="35" spans="1:204" ht="14.25">
      <c r="A35" s="5"/>
      <c r="B35" s="20" t="s">
        <v>43</v>
      </c>
      <c r="C35" s="20"/>
      <c r="D35" s="24"/>
      <c r="E35" s="34">
        <f>E36/E16</f>
        <v>1.4944736842105264</v>
      </c>
      <c r="F35" s="35">
        <f>F36/F16</f>
        <v>1.3115204226188506</v>
      </c>
      <c r="G35" s="10"/>
      <c r="H35" s="10">
        <f t="shared" si="0"/>
        <v>87.75801383961318</v>
      </c>
      <c r="I35" s="34">
        <f>I36/I16</f>
        <v>0.2691062169289474</v>
      </c>
      <c r="J35" s="1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</row>
    <row r="36" spans="1:10" ht="14.25">
      <c r="A36" s="8" t="s">
        <v>44</v>
      </c>
      <c r="B36" s="20" t="s">
        <v>45</v>
      </c>
      <c r="C36" s="20"/>
      <c r="D36" s="21" t="e">
        <f>#REF!/#REF!</f>
        <v>#REF!</v>
      </c>
      <c r="E36" s="16">
        <f>SUM(E37:E58)-25000</f>
        <v>141975</v>
      </c>
      <c r="F36" s="16">
        <f>SUM(F37:F58)</f>
        <v>91158.08602000003</v>
      </c>
      <c r="G36" s="10" t="e">
        <f>F36*100/#REF!</f>
        <v>#REF!</v>
      </c>
      <c r="H36" s="10">
        <f t="shared" si="0"/>
        <v>64.20713929917241</v>
      </c>
      <c r="I36" s="16">
        <f>SUM(I37:I58)</f>
        <v>102260.362433</v>
      </c>
      <c r="J36" s="16" t="e">
        <f>I36-#REF!</f>
        <v>#REF!</v>
      </c>
    </row>
    <row r="37" spans="1:10" ht="14.25">
      <c r="A37" s="37">
        <v>1</v>
      </c>
      <c r="B37" s="38" t="s">
        <v>46</v>
      </c>
      <c r="C37" s="38"/>
      <c r="D37" s="24" t="e">
        <f>#REF!/#REF!</f>
        <v>#REF!</v>
      </c>
      <c r="E37" s="25">
        <v>2850</v>
      </c>
      <c r="F37" s="13">
        <v>2423.162</v>
      </c>
      <c r="G37" s="10" t="e">
        <f>F37*100/#REF!</f>
        <v>#REF!</v>
      </c>
      <c r="H37" s="10">
        <f t="shared" si="0"/>
        <v>85.02322807017543</v>
      </c>
      <c r="I37" s="13">
        <v>1098.702433</v>
      </c>
      <c r="J37" s="16"/>
    </row>
    <row r="38" spans="1:10" ht="14.25">
      <c r="A38" s="37">
        <v>2</v>
      </c>
      <c r="B38" s="39" t="s">
        <v>47</v>
      </c>
      <c r="C38" s="39"/>
      <c r="D38" s="24" t="e">
        <f>#REF!/#REF!</f>
        <v>#REF!</v>
      </c>
      <c r="E38" s="27">
        <v>7000</v>
      </c>
      <c r="F38" s="13">
        <v>6520.69085</v>
      </c>
      <c r="G38" s="10" t="e">
        <f>F38*100/#REF!</f>
        <v>#REF!</v>
      </c>
      <c r="H38" s="10">
        <f t="shared" si="0"/>
        <v>93.15272642857143</v>
      </c>
      <c r="I38" s="13">
        <v>7000</v>
      </c>
      <c r="J38" s="16"/>
    </row>
    <row r="39" spans="1:10" ht="14.25">
      <c r="A39" s="37">
        <v>3</v>
      </c>
      <c r="B39" s="39" t="s">
        <v>48</v>
      </c>
      <c r="C39" s="39"/>
      <c r="D39" s="24" t="e">
        <f>#REF!/#REF!</f>
        <v>#REF!</v>
      </c>
      <c r="E39" s="25">
        <v>1000</v>
      </c>
      <c r="F39" s="13">
        <v>905.96058</v>
      </c>
      <c r="G39" s="10" t="e">
        <f>F39*100/#REF!</f>
        <v>#REF!</v>
      </c>
      <c r="H39" s="10">
        <f t="shared" si="0"/>
        <v>90.596058</v>
      </c>
      <c r="I39" s="13">
        <v>1000</v>
      </c>
      <c r="J39" s="16"/>
    </row>
    <row r="40" spans="1:10" ht="26.25" customHeight="1">
      <c r="A40" s="37">
        <v>4</v>
      </c>
      <c r="B40" s="40" t="s">
        <v>49</v>
      </c>
      <c r="C40" s="40"/>
      <c r="D40" s="24" t="e">
        <f>#REF!/#REF!</f>
        <v>#REF!</v>
      </c>
      <c r="E40" s="27">
        <v>70000</v>
      </c>
      <c r="F40" s="13">
        <f>49749.266+0.013</f>
        <v>49749.279</v>
      </c>
      <c r="G40" s="10" t="e">
        <f>F40*100/#REF!</f>
        <v>#REF!</v>
      </c>
      <c r="H40" s="10">
        <f t="shared" si="0"/>
        <v>71.07039857142858</v>
      </c>
      <c r="I40" s="13">
        <v>40061.66</v>
      </c>
      <c r="J40" s="16"/>
    </row>
    <row r="41" spans="1:10" ht="17.25" customHeight="1">
      <c r="A41" s="37">
        <v>5</v>
      </c>
      <c r="B41" s="41" t="s">
        <v>50</v>
      </c>
      <c r="C41" s="41"/>
      <c r="D41" s="24" t="e">
        <f>#REF!/#REF!</f>
        <v>#REF!</v>
      </c>
      <c r="E41" s="25">
        <v>7000</v>
      </c>
      <c r="F41" s="13">
        <v>6056.228</v>
      </c>
      <c r="G41" s="10" t="e">
        <f>F41*100/#REF!</f>
        <v>#REF!</v>
      </c>
      <c r="H41" s="10">
        <f t="shared" si="0"/>
        <v>86.51754285714286</v>
      </c>
      <c r="I41" s="13">
        <v>3000</v>
      </c>
      <c r="J41" s="16"/>
    </row>
    <row r="42" spans="1:10" ht="14.25" hidden="1">
      <c r="A42" s="37">
        <v>6</v>
      </c>
      <c r="B42" s="41" t="s">
        <v>51</v>
      </c>
      <c r="C42" s="41"/>
      <c r="D42" s="24"/>
      <c r="E42" s="25">
        <v>25000</v>
      </c>
      <c r="F42" s="13"/>
      <c r="G42" s="10" t="e">
        <f>F42*100/#REF!</f>
        <v>#REF!</v>
      </c>
      <c r="H42" s="10">
        <f t="shared" si="0"/>
        <v>0</v>
      </c>
      <c r="I42" s="13"/>
      <c r="J42" s="16"/>
    </row>
    <row r="43" spans="1:10" ht="14.25">
      <c r="A43" s="37">
        <v>7</v>
      </c>
      <c r="B43" s="38" t="s">
        <v>33</v>
      </c>
      <c r="C43" s="38"/>
      <c r="D43" s="24" t="e">
        <f>#REF!/#REF!</f>
        <v>#REF!</v>
      </c>
      <c r="E43" s="27">
        <v>1500</v>
      </c>
      <c r="F43" s="13">
        <v>1525.54542</v>
      </c>
      <c r="G43" s="10" t="e">
        <f>F43*100/#REF!</f>
        <v>#REF!</v>
      </c>
      <c r="H43" s="10">
        <f t="shared" si="0"/>
        <v>101.70302799999999</v>
      </c>
      <c r="I43" s="13">
        <v>1500</v>
      </c>
      <c r="J43" s="16"/>
    </row>
    <row r="44" spans="1:10" ht="14.25">
      <c r="A44" s="37">
        <v>8</v>
      </c>
      <c r="B44" s="38" t="s">
        <v>52</v>
      </c>
      <c r="C44" s="38"/>
      <c r="D44" s="24" t="e">
        <f>#REF!/#REF!</f>
        <v>#REF!</v>
      </c>
      <c r="E44" s="25">
        <v>16100</v>
      </c>
      <c r="F44" s="13">
        <v>10351.90141</v>
      </c>
      <c r="G44" s="10" t="e">
        <f>F44*100/#REF!</f>
        <v>#REF!</v>
      </c>
      <c r="H44" s="10">
        <f t="shared" si="0"/>
        <v>64.29752428571429</v>
      </c>
      <c r="I44" s="13">
        <v>24000</v>
      </c>
      <c r="J44" s="16" t="e">
        <f>I44-#REF!</f>
        <v>#REF!</v>
      </c>
    </row>
    <row r="45" spans="1:10" ht="14.25">
      <c r="A45" s="37">
        <v>9</v>
      </c>
      <c r="B45" s="38" t="s">
        <v>53</v>
      </c>
      <c r="C45" s="38"/>
      <c r="D45" s="24" t="e">
        <f>#REF!/#REF!</f>
        <v>#REF!</v>
      </c>
      <c r="E45" s="27">
        <v>4025</v>
      </c>
      <c r="F45" s="13">
        <v>2195.47681</v>
      </c>
      <c r="G45" s="10" t="e">
        <f>F45*100/#REF!</f>
        <v>#REF!</v>
      </c>
      <c r="H45" s="10">
        <f t="shared" si="0"/>
        <v>54.54600770186336</v>
      </c>
      <c r="I45" s="13">
        <f>I44*25%</f>
        <v>6000</v>
      </c>
      <c r="J45" s="16" t="e">
        <f>I45-#REF!</f>
        <v>#REF!</v>
      </c>
    </row>
    <row r="46" spans="1:10" ht="14.25">
      <c r="A46" s="37">
        <v>10</v>
      </c>
      <c r="B46" s="38" t="s">
        <v>54</v>
      </c>
      <c r="C46" s="38"/>
      <c r="D46" s="24" t="e">
        <f>#REF!/#REF!</f>
        <v>#REF!</v>
      </c>
      <c r="E46" s="25">
        <v>1000</v>
      </c>
      <c r="F46" s="13">
        <v>661.94035</v>
      </c>
      <c r="G46" s="10" t="e">
        <f>F46*100/#REF!</f>
        <v>#REF!</v>
      </c>
      <c r="H46" s="10">
        <f t="shared" si="0"/>
        <v>66.194035</v>
      </c>
      <c r="I46" s="13">
        <f>I16*0.005</f>
        <v>1900</v>
      </c>
      <c r="J46" s="16" t="e">
        <f>I46-#REF!</f>
        <v>#REF!</v>
      </c>
    </row>
    <row r="47" spans="1:10" ht="14.25">
      <c r="A47" s="37">
        <v>11</v>
      </c>
      <c r="B47" s="38" t="s">
        <v>55</v>
      </c>
      <c r="C47" s="38"/>
      <c r="D47" s="24" t="e">
        <f>#REF!/#REF!</f>
        <v>#REF!</v>
      </c>
      <c r="E47" s="27">
        <v>500</v>
      </c>
      <c r="F47" s="13">
        <v>477.82208</v>
      </c>
      <c r="G47" s="10" t="e">
        <f>F47*100/#REF!</f>
        <v>#REF!</v>
      </c>
      <c r="H47" s="10">
        <f t="shared" si="0"/>
        <v>95.56441600000001</v>
      </c>
      <c r="I47" s="13">
        <v>700</v>
      </c>
      <c r="J47" s="16"/>
    </row>
    <row r="48" spans="1:10" ht="14.25">
      <c r="A48" s="37">
        <v>12</v>
      </c>
      <c r="B48" s="42" t="s">
        <v>56</v>
      </c>
      <c r="C48" s="42"/>
      <c r="D48" s="24"/>
      <c r="E48" s="25">
        <v>200</v>
      </c>
      <c r="F48" s="13">
        <v>28</v>
      </c>
      <c r="G48" s="10" t="e">
        <f>F48*100/#REF!</f>
        <v>#REF!</v>
      </c>
      <c r="H48" s="10">
        <f t="shared" si="0"/>
        <v>14</v>
      </c>
      <c r="I48" s="13"/>
      <c r="J48" s="16"/>
    </row>
    <row r="49" spans="1:10" ht="14.25">
      <c r="A49" s="37">
        <v>13</v>
      </c>
      <c r="B49" s="42" t="s">
        <v>57</v>
      </c>
      <c r="C49" s="42"/>
      <c r="D49" s="43" t="e">
        <f>#REF!/#REF!</f>
        <v>#REF!</v>
      </c>
      <c r="E49" s="27"/>
      <c r="F49" s="13">
        <v>808.8946</v>
      </c>
      <c r="G49" s="10" t="e">
        <f>F49*100/#REF!</f>
        <v>#REF!</v>
      </c>
      <c r="H49" s="10"/>
      <c r="I49" s="13">
        <v>5000</v>
      </c>
      <c r="J49" s="16"/>
    </row>
    <row r="50" spans="1:10" ht="14.25">
      <c r="A50" s="37">
        <v>14</v>
      </c>
      <c r="B50" s="42" t="s">
        <v>58</v>
      </c>
      <c r="C50" s="42"/>
      <c r="D50" s="24" t="e">
        <f>#REF!/#REF!</f>
        <v>#REF!</v>
      </c>
      <c r="E50" s="25"/>
      <c r="F50" s="13">
        <v>787.28831</v>
      </c>
      <c r="G50" s="10" t="e">
        <f>F50*100/#REF!</f>
        <v>#REF!</v>
      </c>
      <c r="H50" s="10"/>
      <c r="I50" s="13"/>
      <c r="J50" s="16"/>
    </row>
    <row r="51" spans="1:10" ht="14.25">
      <c r="A51" s="37">
        <v>15</v>
      </c>
      <c r="B51" s="44" t="s">
        <v>59</v>
      </c>
      <c r="C51" s="44"/>
      <c r="D51" s="24" t="e">
        <f>#REF!/#REF!</f>
        <v>#REF!</v>
      </c>
      <c r="E51" s="27">
        <v>500</v>
      </c>
      <c r="F51" s="13">
        <v>649.9416</v>
      </c>
      <c r="G51" s="10" t="e">
        <f>F51*100/#REF!</f>
        <v>#REF!</v>
      </c>
      <c r="H51" s="10">
        <f t="shared" si="0"/>
        <v>129.98832</v>
      </c>
      <c r="I51" s="13">
        <v>1500</v>
      </c>
      <c r="J51" s="16" t="e">
        <f>I51-#REF!</f>
        <v>#REF!</v>
      </c>
    </row>
    <row r="52" spans="1:10" ht="14.25">
      <c r="A52" s="37">
        <v>16</v>
      </c>
      <c r="B52" s="39" t="s">
        <v>60</v>
      </c>
      <c r="C52" s="39"/>
      <c r="D52" s="24" t="e">
        <f>#REF!/#REF!</f>
        <v>#REF!</v>
      </c>
      <c r="E52" s="25"/>
      <c r="F52" s="13"/>
      <c r="G52" s="10"/>
      <c r="H52" s="10"/>
      <c r="I52" s="13">
        <v>500</v>
      </c>
      <c r="J52" s="16" t="e">
        <f>I52-#REF!</f>
        <v>#REF!</v>
      </c>
    </row>
    <row r="53" spans="1:10" ht="14.25">
      <c r="A53" s="37">
        <v>17</v>
      </c>
      <c r="B53" s="39" t="s">
        <v>61</v>
      </c>
      <c r="C53" s="39"/>
      <c r="D53" s="24" t="e">
        <f>#REF!/#REF!</f>
        <v>#REF!</v>
      </c>
      <c r="E53" s="27"/>
      <c r="F53" s="13"/>
      <c r="G53" s="10"/>
      <c r="H53" s="10"/>
      <c r="I53" s="13">
        <v>500</v>
      </c>
      <c r="J53" s="16" t="e">
        <f>I53-#REF!</f>
        <v>#REF!</v>
      </c>
    </row>
    <row r="54" spans="1:10" ht="14.25">
      <c r="A54" s="37">
        <v>18</v>
      </c>
      <c r="B54" s="33" t="s">
        <v>62</v>
      </c>
      <c r="C54" s="33"/>
      <c r="D54" s="24" t="e">
        <f>#REF!/#REF!</f>
        <v>#REF!</v>
      </c>
      <c r="E54" s="25">
        <v>800</v>
      </c>
      <c r="F54" s="13">
        <v>768.46593</v>
      </c>
      <c r="G54" s="10" t="e">
        <f>F54*100/#REF!</f>
        <v>#REF!</v>
      </c>
      <c r="H54" s="10">
        <f t="shared" si="0"/>
        <v>96.05824125</v>
      </c>
      <c r="I54" s="13">
        <v>1200</v>
      </c>
      <c r="J54" s="16"/>
    </row>
    <row r="55" spans="1:10" ht="14.25">
      <c r="A55" s="37">
        <v>19</v>
      </c>
      <c r="B55" s="33" t="s">
        <v>63</v>
      </c>
      <c r="C55" s="33"/>
      <c r="D55" s="24" t="e">
        <f>#REF!/#REF!</f>
        <v>#REF!</v>
      </c>
      <c r="E55" s="27">
        <v>500</v>
      </c>
      <c r="F55" s="13">
        <v>469.32598</v>
      </c>
      <c r="G55" s="10" t="e">
        <f>F55*100/#REF!</f>
        <v>#REF!</v>
      </c>
      <c r="H55" s="10">
        <f t="shared" si="0"/>
        <v>93.865196</v>
      </c>
      <c r="I55" s="13">
        <v>500</v>
      </c>
      <c r="J55" s="16"/>
    </row>
    <row r="56" spans="1:10" ht="15" customHeight="1">
      <c r="A56" s="37">
        <v>20</v>
      </c>
      <c r="B56" s="33" t="s">
        <v>64</v>
      </c>
      <c r="C56" s="33"/>
      <c r="D56" s="24" t="e">
        <f>#REF!/#REF!</f>
        <v>#REF!</v>
      </c>
      <c r="E56" s="25">
        <v>700</v>
      </c>
      <c r="F56" s="13">
        <v>649.9416</v>
      </c>
      <c r="G56" s="10" t="e">
        <f>F56*100/#REF!</f>
        <v>#REF!</v>
      </c>
      <c r="H56" s="10">
        <f t="shared" si="0"/>
        <v>92.8488</v>
      </c>
      <c r="I56" s="13">
        <v>800</v>
      </c>
      <c r="J56" s="16"/>
    </row>
    <row r="57" spans="1:10" ht="0.75" customHeight="1" hidden="1">
      <c r="A57" s="37">
        <v>21</v>
      </c>
      <c r="B57" s="33" t="s">
        <v>65</v>
      </c>
      <c r="C57" s="33"/>
      <c r="D57" s="24" t="e">
        <f>#REF!/#REF!</f>
        <v>#REF!</v>
      </c>
      <c r="E57" s="27"/>
      <c r="F57" s="13"/>
      <c r="G57" s="10" t="e">
        <f>F57*100/#REF!</f>
        <v>#REF!</v>
      </c>
      <c r="H57" s="10" t="e">
        <f t="shared" si="0"/>
        <v>#DIV/0!</v>
      </c>
      <c r="I57" s="13"/>
      <c r="J57" s="16" t="e">
        <f>I57-#REF!</f>
        <v>#REF!</v>
      </c>
    </row>
    <row r="58" spans="1:10" ht="14.25">
      <c r="A58" s="37">
        <v>22</v>
      </c>
      <c r="B58" s="38" t="s">
        <v>66</v>
      </c>
      <c r="C58" s="38"/>
      <c r="D58" s="24" t="e">
        <f>#REF!/#REF!</f>
        <v>#REF!</v>
      </c>
      <c r="E58" s="25">
        <v>28300</v>
      </c>
      <c r="F58" s="13">
        <f>3953.325+20.61+2154.286+0.0005</f>
        <v>6128.2215</v>
      </c>
      <c r="G58" s="10" t="e">
        <f>F58*100/#REF!</f>
        <v>#REF!</v>
      </c>
      <c r="H58" s="10">
        <f t="shared" si="0"/>
        <v>21.654492932862187</v>
      </c>
      <c r="I58" s="13">
        <v>6000</v>
      </c>
      <c r="J58" s="16" t="e">
        <f>I58-#REF!</f>
        <v>#REF!</v>
      </c>
    </row>
    <row r="59" spans="1:10" ht="14.25">
      <c r="A59" s="45"/>
      <c r="B59" s="46" t="s">
        <v>67</v>
      </c>
      <c r="C59" s="46"/>
      <c r="D59" s="47"/>
      <c r="E59" s="22">
        <f>E19-E36</f>
        <v>-37750</v>
      </c>
      <c r="F59" s="16">
        <f>F19-F36</f>
        <v>-56282.90998000003</v>
      </c>
      <c r="G59" s="10"/>
      <c r="H59" s="10"/>
      <c r="I59" s="16">
        <f>I19-I36</f>
        <v>1630.8858071656286</v>
      </c>
      <c r="J59" s="48"/>
    </row>
    <row r="60" spans="1:10" ht="13.5" customHeight="1">
      <c r="A60" s="45"/>
      <c r="B60" s="49" t="s">
        <v>68</v>
      </c>
      <c r="C60" s="49"/>
      <c r="D60" s="47"/>
      <c r="E60" s="50"/>
      <c r="F60" s="13"/>
      <c r="G60" s="10"/>
      <c r="H60" s="10"/>
      <c r="I60" s="13">
        <f>I59*0.12</f>
        <v>195.70629685987544</v>
      </c>
      <c r="J60" s="48"/>
    </row>
    <row r="61" spans="1:10" ht="13.5" customHeight="1" hidden="1">
      <c r="A61" s="73" t="s">
        <v>69</v>
      </c>
      <c r="B61" s="74"/>
      <c r="C61" s="74"/>
      <c r="D61" s="75"/>
      <c r="E61" s="22">
        <f>E63+E62</f>
        <v>38236</v>
      </c>
      <c r="F61" s="16">
        <f>F62+F63</f>
        <v>0</v>
      </c>
      <c r="G61" s="10"/>
      <c r="H61" s="10"/>
      <c r="I61" s="16">
        <f>I62+I63</f>
        <v>0</v>
      </c>
      <c r="J61" s="48"/>
    </row>
    <row r="62" spans="1:10" ht="13.5" customHeight="1" hidden="1">
      <c r="A62" s="37">
        <v>1</v>
      </c>
      <c r="B62" s="38" t="s">
        <v>70</v>
      </c>
      <c r="C62" s="38"/>
      <c r="D62" s="24"/>
      <c r="E62" s="25">
        <v>14373</v>
      </c>
      <c r="F62" s="13"/>
      <c r="G62" s="10"/>
      <c r="H62" s="10"/>
      <c r="I62" s="13"/>
      <c r="J62" s="48"/>
    </row>
    <row r="63" spans="1:10" ht="13.5" customHeight="1" hidden="1">
      <c r="A63" s="37">
        <v>2</v>
      </c>
      <c r="B63" s="38" t="s">
        <v>71</v>
      </c>
      <c r="C63" s="38"/>
      <c r="D63" s="24"/>
      <c r="E63" s="27">
        <v>23863</v>
      </c>
      <c r="F63" s="13"/>
      <c r="G63" s="10"/>
      <c r="H63" s="10"/>
      <c r="I63" s="13"/>
      <c r="J63" s="48"/>
    </row>
    <row r="64" spans="1:10" ht="13.5" customHeight="1">
      <c r="A64" s="8" t="s">
        <v>72</v>
      </c>
      <c r="B64" s="15" t="s">
        <v>73</v>
      </c>
      <c r="C64" s="15"/>
      <c r="D64" s="21" t="e">
        <f>#REF!/#REF!</f>
        <v>#REF!</v>
      </c>
      <c r="E64" s="51">
        <f>E59+E62+E63</f>
        <v>486</v>
      </c>
      <c r="F64" s="52">
        <f>F19-F36+F61</f>
        <v>-56282.90998000003</v>
      </c>
      <c r="G64" s="10" t="e">
        <f>F64*100/#REF!</f>
        <v>#REF!</v>
      </c>
      <c r="H64" s="53">
        <f t="shared" si="0"/>
        <v>-11580.845674897126</v>
      </c>
      <c r="I64" s="16">
        <f>I59-I60</f>
        <v>1435.1795103057532</v>
      </c>
      <c r="J64" s="48"/>
    </row>
    <row r="65" spans="1:10" ht="14.25">
      <c r="A65" s="8" t="s">
        <v>74</v>
      </c>
      <c r="B65" s="20" t="s">
        <v>75</v>
      </c>
      <c r="C65" s="20"/>
      <c r="D65" s="54"/>
      <c r="E65" s="54">
        <f>E64/E16*100</f>
        <v>0.511578947368421</v>
      </c>
      <c r="F65" s="54">
        <f>F64/F16*100</f>
        <v>-80.97601551988832</v>
      </c>
      <c r="G65" s="54"/>
      <c r="H65" s="54"/>
      <c r="I65" s="54">
        <f>I64/I16*100</f>
        <v>0.377678818501514</v>
      </c>
      <c r="J65" s="55"/>
    </row>
    <row r="66" ht="12.75" customHeight="1"/>
    <row r="67" ht="14.25" hidden="1"/>
    <row r="68" spans="2:9" ht="71.25" customHeight="1">
      <c r="B68" s="76"/>
      <c r="C68" s="76"/>
      <c r="D68" s="76"/>
      <c r="E68" s="76"/>
      <c r="F68" s="76"/>
      <c r="G68" s="76"/>
      <c r="H68" s="76"/>
      <c r="I68" s="76"/>
    </row>
    <row r="69" spans="2:9" ht="14.25">
      <c r="B69" s="77"/>
      <c r="C69" s="77"/>
      <c r="D69" s="77"/>
      <c r="E69" s="77"/>
      <c r="F69" s="77"/>
      <c r="G69" s="77"/>
      <c r="H69" s="77"/>
      <c r="I69" s="77"/>
    </row>
    <row r="70" spans="2:9" ht="14.25">
      <c r="B70" s="77"/>
      <c r="C70" s="77"/>
      <c r="D70" s="77"/>
      <c r="E70" s="77"/>
      <c r="F70" s="77"/>
      <c r="G70" s="77"/>
      <c r="H70" s="77"/>
      <c r="I70" s="77"/>
    </row>
    <row r="71" spans="2:9" ht="14.25">
      <c r="B71" s="77"/>
      <c r="C71" s="77"/>
      <c r="D71" s="77"/>
      <c r="E71" s="77"/>
      <c r="F71" s="77"/>
      <c r="G71" s="77"/>
      <c r="H71" s="77"/>
      <c r="I71" s="77"/>
    </row>
    <row r="72" spans="2:9" ht="14.25">
      <c r="B72" s="77"/>
      <c r="C72" s="77"/>
      <c r="D72" s="77"/>
      <c r="E72" s="77"/>
      <c r="F72" s="77"/>
      <c r="G72" s="77"/>
      <c r="H72" s="77"/>
      <c r="I72" s="77"/>
    </row>
  </sheetData>
  <sheetProtection/>
  <mergeCells count="13">
    <mergeCell ref="B70:I70"/>
    <mergeCell ref="B71:I71"/>
    <mergeCell ref="B72:I72"/>
    <mergeCell ref="A1:I1"/>
    <mergeCell ref="F2:I2"/>
    <mergeCell ref="D14:I14"/>
    <mergeCell ref="D15:I15"/>
    <mergeCell ref="E24:E25"/>
    <mergeCell ref="F24:F25"/>
    <mergeCell ref="G24:G25"/>
    <mergeCell ref="A61:D61"/>
    <mergeCell ref="B68:I68"/>
    <mergeCell ref="B69:I69"/>
  </mergeCells>
  <printOptions/>
  <pageMargins left="0.7" right="0.55" top="0.68" bottom="0.6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1"/>
  <sheetViews>
    <sheetView view="pageBreakPreview" zoomScale="60" zoomScalePageLayoutView="0" workbookViewId="0" topLeftCell="A1">
      <pane xSplit="2" ySplit="3" topLeftCell="C9" activePane="bottomRight" state="frozen"/>
      <selection pane="topLeft" activeCell="A1" sqref="A1"/>
      <selection pane="topRight" activeCell="L1" sqref="L1"/>
      <selection pane="bottomLeft" activeCell="A4" sqref="A4"/>
      <selection pane="bottomRight" activeCell="B31" sqref="B31:B34"/>
    </sheetView>
  </sheetViews>
  <sheetFormatPr defaultColWidth="0" defaultRowHeight="15"/>
  <cols>
    <col min="1" max="1" width="5.00390625" style="1" customWidth="1"/>
    <col min="2" max="2" width="34.57421875" style="1" customWidth="1"/>
    <col min="3" max="3" width="18.57421875" style="1" customWidth="1"/>
    <col min="4" max="4" width="18.00390625" style="1" customWidth="1"/>
    <col min="5" max="5" width="10.57421875" style="1" customWidth="1"/>
    <col min="6" max="184" width="9.140625" style="1" customWidth="1"/>
    <col min="185" max="185" width="5.00390625" style="1" customWidth="1"/>
    <col min="186" max="186" width="30.421875" style="1" customWidth="1"/>
    <col min="187" max="190" width="0" style="1" hidden="1" customWidth="1"/>
    <col min="191" max="191" width="11.00390625" style="1" customWidth="1"/>
    <col min="192" max="243" width="11.28125" style="1" customWidth="1"/>
    <col min="244" max="244" width="5.00390625" style="1" customWidth="1"/>
    <col min="245" max="245" width="34.7109375" style="1" customWidth="1"/>
    <col min="246" max="246" width="0" style="1" hidden="1" customWidth="1"/>
    <col min="247" max="247" width="12.421875" style="1" customWidth="1"/>
    <col min="248" max="248" width="14.7109375" style="1" customWidth="1"/>
    <col min="249" max="250" width="0" style="1" hidden="1" customWidth="1"/>
    <col min="251" max="251" width="13.140625" style="1" customWidth="1"/>
    <col min="252" max="254" width="0" style="1" hidden="1" customWidth="1"/>
    <col min="255" max="255" width="13.28125" style="1" customWidth="1"/>
    <col min="256" max="16384" width="0" style="1" hidden="1" customWidth="1"/>
  </cols>
  <sheetData>
    <row r="1" spans="1:5" ht="36.75" customHeight="1">
      <c r="A1" s="78" t="s">
        <v>76</v>
      </c>
      <c r="B1" s="78"/>
      <c r="C1" s="78"/>
      <c r="D1" s="78"/>
      <c r="E1" s="78"/>
    </row>
    <row r="2" spans="1:5" ht="15.75" customHeight="1">
      <c r="A2" s="61"/>
      <c r="B2" s="61"/>
      <c r="D2" s="58" t="s">
        <v>77</v>
      </c>
      <c r="E2" s="58"/>
    </row>
    <row r="3" spans="1:5" ht="15.75">
      <c r="A3" s="4"/>
      <c r="B3" s="5" t="s">
        <v>1</v>
      </c>
      <c r="C3" s="6" t="s">
        <v>78</v>
      </c>
      <c r="D3" s="28" t="s">
        <v>79</v>
      </c>
      <c r="E3" s="28" t="s">
        <v>80</v>
      </c>
    </row>
    <row r="4" spans="1:5" ht="18.75" customHeight="1">
      <c r="A4" s="8" t="s">
        <v>19</v>
      </c>
      <c r="B4" s="20" t="s">
        <v>20</v>
      </c>
      <c r="C4" s="16">
        <f>C5+C6</f>
        <v>210000</v>
      </c>
      <c r="D4" s="65">
        <f>D5+D6</f>
        <v>57129.134</v>
      </c>
      <c r="E4" s="57">
        <f>D4*100/C4</f>
        <v>27.204349523809523</v>
      </c>
    </row>
    <row r="5" spans="1:5" ht="18.75" customHeight="1">
      <c r="A5" s="5">
        <v>1</v>
      </c>
      <c r="B5" s="23" t="s">
        <v>21</v>
      </c>
      <c r="C5" s="13">
        <v>122000</v>
      </c>
      <c r="D5" s="64">
        <v>32740.638</v>
      </c>
      <c r="E5" s="57">
        <f aca="true" t="shared" si="0" ref="E5:E43">D5*100/C5</f>
        <v>26.836588524590162</v>
      </c>
    </row>
    <row r="6" spans="1:5" ht="18.75" customHeight="1">
      <c r="A6" s="5">
        <v>2</v>
      </c>
      <c r="B6" s="23" t="s">
        <v>22</v>
      </c>
      <c r="C6" s="13">
        <v>88000</v>
      </c>
      <c r="D6" s="64">
        <v>24388.496</v>
      </c>
      <c r="E6" s="57">
        <f t="shared" si="0"/>
        <v>27.7142</v>
      </c>
    </row>
    <row r="7" spans="1:5" ht="18.75" customHeight="1">
      <c r="A7" s="8" t="s">
        <v>23</v>
      </c>
      <c r="B7" s="20" t="s">
        <v>24</v>
      </c>
      <c r="C7" s="16">
        <f>C8+C9+C10+C14+C15+C16+C17</f>
        <v>95750</v>
      </c>
      <c r="D7" s="65">
        <f>D8+D9+D10+D14+D15+D16+D17</f>
        <v>49844.138999999996</v>
      </c>
      <c r="E7" s="57">
        <f t="shared" si="0"/>
        <v>52.056542036553516</v>
      </c>
    </row>
    <row r="8" spans="1:5" ht="18.75" customHeight="1">
      <c r="A8" s="28">
        <v>1</v>
      </c>
      <c r="B8" s="23" t="s">
        <v>25</v>
      </c>
      <c r="C8" s="13">
        <v>6850</v>
      </c>
      <c r="D8" s="64">
        <v>-2288.402264</v>
      </c>
      <c r="E8" s="57">
        <f t="shared" si="0"/>
        <v>-33.40733232116788</v>
      </c>
    </row>
    <row r="9" spans="1:5" ht="18.75" customHeight="1">
      <c r="A9" s="28">
        <v>2</v>
      </c>
      <c r="B9" s="23" t="s">
        <v>26</v>
      </c>
      <c r="C9" s="13">
        <v>10000</v>
      </c>
      <c r="D9" s="64">
        <v>815.1534556</v>
      </c>
      <c r="E9" s="57">
        <f t="shared" si="0"/>
        <v>8.151534556</v>
      </c>
    </row>
    <row r="10" spans="1:5" ht="18.75" customHeight="1">
      <c r="A10" s="28">
        <v>3</v>
      </c>
      <c r="B10" s="23" t="s">
        <v>27</v>
      </c>
      <c r="C10" s="13">
        <f>C12+C13</f>
        <v>72970</v>
      </c>
      <c r="D10" s="64">
        <v>42287.15591737</v>
      </c>
      <c r="E10" s="57">
        <f t="shared" si="0"/>
        <v>57.951426500438544</v>
      </c>
    </row>
    <row r="11" spans="1:5" ht="12.75" customHeight="1">
      <c r="A11" s="29"/>
      <c r="B11" s="30" t="s">
        <v>28</v>
      </c>
      <c r="C11" s="13"/>
      <c r="D11" s="64">
        <v>0</v>
      </c>
      <c r="E11" s="57"/>
    </row>
    <row r="12" spans="1:5" ht="18.75" customHeight="1">
      <c r="A12" s="29"/>
      <c r="B12" s="31" t="s">
        <v>29</v>
      </c>
      <c r="C12" s="13">
        <v>67470</v>
      </c>
      <c r="D12" s="64">
        <v>42279.99725413</v>
      </c>
      <c r="E12" s="57">
        <f t="shared" si="0"/>
        <v>62.66488402864977</v>
      </c>
    </row>
    <row r="13" spans="1:5" ht="18.75" customHeight="1">
      <c r="A13" s="29"/>
      <c r="B13" s="31" t="s">
        <v>30</v>
      </c>
      <c r="C13" s="13">
        <v>5500</v>
      </c>
      <c r="D13" s="64">
        <v>7.15866324</v>
      </c>
      <c r="E13" s="57">
        <f t="shared" si="0"/>
        <v>0.13015751345454546</v>
      </c>
    </row>
    <row r="14" spans="1:5" ht="18.75" customHeight="1">
      <c r="A14" s="28">
        <v>5</v>
      </c>
      <c r="B14" s="33" t="s">
        <v>33</v>
      </c>
      <c r="C14" s="13">
        <v>1200</v>
      </c>
      <c r="D14" s="64">
        <v>841.15182735</v>
      </c>
      <c r="E14" s="57">
        <f t="shared" si="0"/>
        <v>70.0959856125</v>
      </c>
    </row>
    <row r="15" spans="1:5" ht="18.75" customHeight="1">
      <c r="A15" s="28">
        <v>6</v>
      </c>
      <c r="B15" s="33" t="s">
        <v>34</v>
      </c>
      <c r="C15" s="13"/>
      <c r="D15" s="64">
        <v>440.827</v>
      </c>
      <c r="E15" s="57"/>
    </row>
    <row r="16" spans="1:5" ht="18.75" customHeight="1">
      <c r="A16" s="28">
        <v>7</v>
      </c>
      <c r="B16" s="33" t="s">
        <v>35</v>
      </c>
      <c r="C16" s="13">
        <v>4730</v>
      </c>
      <c r="D16" s="64">
        <v>4736.32831</v>
      </c>
      <c r="E16" s="57">
        <f t="shared" si="0"/>
        <v>100.1337909090909</v>
      </c>
    </row>
    <row r="17" spans="1:5" ht="18.75" customHeight="1">
      <c r="A17" s="28">
        <v>8</v>
      </c>
      <c r="B17" s="33" t="s">
        <v>36</v>
      </c>
      <c r="C17" s="11"/>
      <c r="D17" s="64">
        <v>3011.92475368</v>
      </c>
      <c r="E17" s="57"/>
    </row>
    <row r="18" spans="1:194" ht="18.75" customHeight="1">
      <c r="A18" s="5" t="s">
        <v>37</v>
      </c>
      <c r="B18" s="20" t="s">
        <v>38</v>
      </c>
      <c r="C18" s="34">
        <f>C7/C4</f>
        <v>0.45595238095238094</v>
      </c>
      <c r="D18" s="34">
        <f>D7/D4</f>
        <v>0.8724819634059217</v>
      </c>
      <c r="E18" s="57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</row>
    <row r="19" spans="1:194" ht="18.75" customHeight="1">
      <c r="A19" s="5" t="s">
        <v>39</v>
      </c>
      <c r="B19" s="20" t="s">
        <v>40</v>
      </c>
      <c r="C19" s="34">
        <f>C8/(C5-C8)</f>
        <v>0.05948762483716891</v>
      </c>
      <c r="D19" s="34">
        <f>D8/(D5-D8)</f>
        <v>-0.06532871716590631</v>
      </c>
      <c r="E19" s="57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</row>
    <row r="20" spans="1:194" ht="18.75" customHeight="1">
      <c r="A20" s="5" t="s">
        <v>41</v>
      </c>
      <c r="B20" s="20" t="s">
        <v>42</v>
      </c>
      <c r="C20" s="34">
        <f>C9/(C6-C9)</f>
        <v>0.1282051282051282</v>
      </c>
      <c r="D20" s="34">
        <f>D9/(D6-D9)</f>
        <v>0.03457946000083238</v>
      </c>
      <c r="E20" s="57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</row>
    <row r="21" spans="1:194" ht="18.75" customHeight="1">
      <c r="A21" s="5"/>
      <c r="B21" s="20" t="s">
        <v>43</v>
      </c>
      <c r="C21" s="34">
        <f>C22/C4</f>
        <v>0.4481842973</v>
      </c>
      <c r="D21" s="34">
        <f>D22/D4</f>
        <v>1.7187372033330663</v>
      </c>
      <c r="E21" s="57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</row>
    <row r="22" spans="1:5" ht="18.75" customHeight="1">
      <c r="A22" s="8" t="s">
        <v>44</v>
      </c>
      <c r="B22" s="20" t="s">
        <v>45</v>
      </c>
      <c r="C22" s="16">
        <f>SUM(C23:C40)</f>
        <v>94118.702433</v>
      </c>
      <c r="D22" s="16">
        <f>SUM(D23:D40)</f>
        <v>98189.968</v>
      </c>
      <c r="E22" s="57"/>
    </row>
    <row r="23" spans="1:5" ht="18.75" customHeight="1">
      <c r="A23" s="37">
        <v>1</v>
      </c>
      <c r="B23" s="38" t="s">
        <v>46</v>
      </c>
      <c r="C23" s="13">
        <v>1098.702433</v>
      </c>
      <c r="D23" s="64">
        <v>1235.16942584</v>
      </c>
      <c r="E23" s="57">
        <f t="shared" si="0"/>
        <v>112.42074184430246</v>
      </c>
    </row>
    <row r="24" spans="1:5" ht="18.75" customHeight="1">
      <c r="A24" s="37">
        <v>2</v>
      </c>
      <c r="B24" s="39" t="s">
        <v>47</v>
      </c>
      <c r="C24" s="13">
        <v>7000</v>
      </c>
      <c r="D24" s="64">
        <v>4899.20614642</v>
      </c>
      <c r="E24" s="57">
        <f t="shared" si="0"/>
        <v>69.98865923457141</v>
      </c>
    </row>
    <row r="25" spans="1:5" ht="18.75" customHeight="1">
      <c r="A25" s="37">
        <v>3</v>
      </c>
      <c r="B25" s="39" t="s">
        <v>48</v>
      </c>
      <c r="C25" s="13">
        <v>1000</v>
      </c>
      <c r="D25" s="64">
        <v>290.540637</v>
      </c>
      <c r="E25" s="57">
        <f t="shared" si="0"/>
        <v>29.0540637</v>
      </c>
    </row>
    <row r="26" spans="1:5" ht="24.75" customHeight="1">
      <c r="A26" s="37">
        <v>4</v>
      </c>
      <c r="B26" s="40" t="s">
        <v>49</v>
      </c>
      <c r="C26" s="13">
        <v>40070</v>
      </c>
      <c r="D26" s="64">
        <v>51809.546</v>
      </c>
      <c r="E26" s="57">
        <f t="shared" si="0"/>
        <v>129.29759421013227</v>
      </c>
    </row>
    <row r="27" spans="1:5" ht="18.75" customHeight="1">
      <c r="A27" s="37">
        <v>5</v>
      </c>
      <c r="B27" s="41" t="s">
        <v>50</v>
      </c>
      <c r="C27" s="13">
        <v>3000</v>
      </c>
      <c r="D27" s="64">
        <v>2236.382</v>
      </c>
      <c r="E27" s="57">
        <f t="shared" si="0"/>
        <v>74.54606666666668</v>
      </c>
    </row>
    <row r="28" spans="1:5" ht="18.75" customHeight="1">
      <c r="A28" s="37">
        <v>6</v>
      </c>
      <c r="B28" s="38" t="s">
        <v>33</v>
      </c>
      <c r="C28" s="13">
        <v>1500</v>
      </c>
      <c r="D28" s="64">
        <v>1287.921</v>
      </c>
      <c r="E28" s="57">
        <f t="shared" si="0"/>
        <v>85.8614</v>
      </c>
    </row>
    <row r="29" spans="1:5" ht="18.75" customHeight="1">
      <c r="A29" s="37">
        <v>7</v>
      </c>
      <c r="B29" s="38" t="s">
        <v>52</v>
      </c>
      <c r="C29" s="13">
        <v>20000</v>
      </c>
      <c r="D29" s="64">
        <v>15374.78205951</v>
      </c>
      <c r="E29" s="57">
        <f t="shared" si="0"/>
        <v>76.87391029755001</v>
      </c>
    </row>
    <row r="30" spans="1:5" ht="18.75" customHeight="1">
      <c r="A30" s="37">
        <v>8</v>
      </c>
      <c r="B30" s="38" t="s">
        <v>53</v>
      </c>
      <c r="C30" s="13">
        <f>C29*25%</f>
        <v>5000</v>
      </c>
      <c r="D30" s="64">
        <v>3492.398938</v>
      </c>
      <c r="E30" s="57">
        <f t="shared" si="0"/>
        <v>69.84797875999999</v>
      </c>
    </row>
    <row r="31" spans="1:5" ht="18.75" customHeight="1">
      <c r="A31" s="37">
        <v>9</v>
      </c>
      <c r="B31" s="38" t="s">
        <v>54</v>
      </c>
      <c r="C31" s="13">
        <f>C4*0.005</f>
        <v>1050</v>
      </c>
      <c r="D31" s="64">
        <v>194.99355737</v>
      </c>
      <c r="E31" s="57">
        <f t="shared" si="0"/>
        <v>18.570814987619045</v>
      </c>
    </row>
    <row r="32" spans="1:5" ht="18.75" customHeight="1">
      <c r="A32" s="37">
        <v>10</v>
      </c>
      <c r="B32" s="38" t="s">
        <v>55</v>
      </c>
      <c r="C32" s="13">
        <v>700</v>
      </c>
      <c r="D32" s="64">
        <v>668.37999899</v>
      </c>
      <c r="E32" s="57">
        <f t="shared" si="0"/>
        <v>95.48285699857144</v>
      </c>
    </row>
    <row r="33" spans="1:5" ht="18.75" customHeight="1">
      <c r="A33" s="37">
        <v>11</v>
      </c>
      <c r="B33" s="42" t="s">
        <v>57</v>
      </c>
      <c r="C33" s="13">
        <v>5000</v>
      </c>
      <c r="D33" s="64">
        <v>2662.28859699</v>
      </c>
      <c r="E33" s="57">
        <f t="shared" si="0"/>
        <v>53.245771939799994</v>
      </c>
    </row>
    <row r="34" spans="1:5" ht="18.75" customHeight="1">
      <c r="A34" s="37">
        <v>13</v>
      </c>
      <c r="B34" s="44" t="s">
        <v>59</v>
      </c>
      <c r="C34" s="13">
        <v>500</v>
      </c>
      <c r="D34" s="64">
        <v>0</v>
      </c>
      <c r="E34" s="57">
        <f t="shared" si="0"/>
        <v>0</v>
      </c>
    </row>
    <row r="35" spans="1:5" ht="18.75" customHeight="1">
      <c r="A35" s="37">
        <v>14</v>
      </c>
      <c r="B35" s="39" t="s">
        <v>60</v>
      </c>
      <c r="C35" s="13">
        <v>100</v>
      </c>
      <c r="D35" s="64">
        <v>0</v>
      </c>
      <c r="E35" s="57">
        <f t="shared" si="0"/>
        <v>0</v>
      </c>
    </row>
    <row r="36" spans="1:5" ht="18.75" customHeight="1">
      <c r="A36" s="37">
        <v>15</v>
      </c>
      <c r="B36" s="39" t="s">
        <v>61</v>
      </c>
      <c r="C36" s="13">
        <v>100</v>
      </c>
      <c r="D36" s="64">
        <v>0</v>
      </c>
      <c r="E36" s="57">
        <f t="shared" si="0"/>
        <v>0</v>
      </c>
    </row>
    <row r="37" spans="1:5" ht="18.75" customHeight="1">
      <c r="A37" s="37">
        <v>16</v>
      </c>
      <c r="B37" s="33" t="s">
        <v>62</v>
      </c>
      <c r="C37" s="13">
        <v>1200</v>
      </c>
      <c r="D37" s="64">
        <v>829.50723558</v>
      </c>
      <c r="E37" s="57">
        <f t="shared" si="0"/>
        <v>69.125602965</v>
      </c>
    </row>
    <row r="38" spans="1:5" ht="18.75" customHeight="1">
      <c r="A38" s="37">
        <v>17</v>
      </c>
      <c r="B38" s="33" t="s">
        <v>63</v>
      </c>
      <c r="C38" s="13">
        <v>500</v>
      </c>
      <c r="D38" s="64">
        <v>53.53999999999999</v>
      </c>
      <c r="E38" s="57">
        <f t="shared" si="0"/>
        <v>10.707999999999998</v>
      </c>
    </row>
    <row r="39" spans="1:5" ht="18.75" customHeight="1">
      <c r="A39" s="37">
        <v>18</v>
      </c>
      <c r="B39" s="33" t="s">
        <v>64</v>
      </c>
      <c r="C39" s="13">
        <v>800</v>
      </c>
      <c r="D39" s="64">
        <v>630.0960902</v>
      </c>
      <c r="E39" s="57">
        <f t="shared" si="0"/>
        <v>78.762011275</v>
      </c>
    </row>
    <row r="40" spans="1:5" ht="18.75" customHeight="1">
      <c r="A40" s="37">
        <v>19</v>
      </c>
      <c r="B40" s="38" t="s">
        <v>66</v>
      </c>
      <c r="C40" s="13">
        <v>5500</v>
      </c>
      <c r="D40" s="64">
        <v>12525.216314100002</v>
      </c>
      <c r="E40" s="57">
        <f t="shared" si="0"/>
        <v>227.7312057109091</v>
      </c>
    </row>
    <row r="41" spans="1:5" ht="18.75" customHeight="1">
      <c r="A41" s="45"/>
      <c r="B41" s="46" t="s">
        <v>67</v>
      </c>
      <c r="C41" s="16">
        <f>C7-C22</f>
        <v>1631.2975670000014</v>
      </c>
      <c r="D41" s="65">
        <f>D7-D22</f>
        <v>-48345.829</v>
      </c>
      <c r="E41" s="57">
        <f t="shared" si="0"/>
        <v>-2963.642561480014</v>
      </c>
    </row>
    <row r="42" spans="1:5" ht="18.75" customHeight="1">
      <c r="A42" s="45"/>
      <c r="B42" s="49" t="s">
        <v>68</v>
      </c>
      <c r="C42" s="13">
        <f>C41*0.12</f>
        <v>195.75570804000017</v>
      </c>
      <c r="D42" s="55"/>
      <c r="E42" s="57">
        <f t="shared" si="0"/>
        <v>0</v>
      </c>
    </row>
    <row r="43" spans="1:5" ht="18.75" customHeight="1">
      <c r="A43" s="8" t="s">
        <v>72</v>
      </c>
      <c r="B43" s="15" t="s">
        <v>73</v>
      </c>
      <c r="C43" s="16">
        <f>C41-C42</f>
        <v>1435.5418589600013</v>
      </c>
      <c r="D43" s="65">
        <f>D41-D42</f>
        <v>-48345.829</v>
      </c>
      <c r="E43" s="57">
        <f t="shared" si="0"/>
        <v>-3367.7756380454707</v>
      </c>
    </row>
    <row r="44" spans="1:5" ht="18.75" customHeight="1">
      <c r="A44" s="8" t="s">
        <v>74</v>
      </c>
      <c r="B44" s="20" t="s">
        <v>75</v>
      </c>
      <c r="C44" s="54">
        <f>C43/C4*100</f>
        <v>0.6835913614095244</v>
      </c>
      <c r="D44" s="54">
        <f>D43/D4*100</f>
        <v>-84.62552399271446</v>
      </c>
      <c r="E44" s="66"/>
    </row>
    <row r="47" spans="2:4" ht="15.75">
      <c r="B47" s="62"/>
      <c r="D47" s="59"/>
    </row>
    <row r="48" spans="2:4" ht="14.25">
      <c r="B48" s="60"/>
      <c r="D48" s="63"/>
    </row>
    <row r="49" ht="14.25">
      <c r="B49" s="60"/>
    </row>
    <row r="50" ht="14.25">
      <c r="B50" s="60"/>
    </row>
    <row r="51" ht="14.25">
      <c r="B51" s="60"/>
    </row>
  </sheetData>
  <sheetProtection/>
  <mergeCells count="1">
    <mergeCell ref="A1:E1"/>
  </mergeCells>
  <printOptions/>
  <pageMargins left="0.84" right="0.62" top="0.2362204724409449" bottom="0.1968503937007874" header="0.31496062992125984" footer="0.3149606299212598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2020-09-08T06:26:51Z</dcterms:modified>
  <cp:category/>
  <cp:version/>
  <cp:contentType/>
  <cp:contentStatus/>
</cp:coreProperties>
</file>